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sim\Dropbox\Adam\Forecasting Book 2019\Website Material\"/>
    </mc:Choice>
  </mc:AlternateContent>
  <xr:revisionPtr revIDLastSave="0" documentId="8_{B4F0B53D-F030-4F83-93BA-2F4ED4AB2727}" xr6:coauthVersionLast="45" xr6:coauthVersionMax="45" xr10:uidLastSave="{00000000-0000-0000-0000-000000000000}"/>
  <bookViews>
    <workbookView xWindow="-108" yWindow="-108" windowWidth="23256" windowHeight="12576" xr2:uid="{164491CC-CA67-438C-BC97-D5F169F0F93F}"/>
  </bookViews>
  <sheets>
    <sheet name="Sheet1" sheetId="1" r:id="rId1"/>
  </sheets>
  <externalReferences>
    <externalReference r:id="rId2"/>
  </externalReferences>
  <definedNames>
    <definedName name="_xlchart.v1.0" hidden="1">'[1]Workings 2'!$M$54:$M$58</definedName>
    <definedName name="_xlchart.v1.1" hidden="1">'[1]Workings 2'!$N$54:$N$58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58" i="1" l="1"/>
  <c r="I57" i="1"/>
  <c r="H57" i="1"/>
  <c r="G57" i="1"/>
  <c r="I56" i="1"/>
  <c r="G54" i="1"/>
  <c r="F54" i="1"/>
  <c r="E54" i="1"/>
  <c r="H50" i="1"/>
  <c r="K50" i="1" s="1"/>
  <c r="G50" i="1"/>
  <c r="I50" i="1" s="1"/>
  <c r="J50" i="1" s="1"/>
  <c r="K49" i="1"/>
  <c r="J49" i="1"/>
  <c r="I49" i="1"/>
  <c r="H48" i="1"/>
  <c r="G48" i="1"/>
  <c r="K48" i="1" s="1"/>
  <c r="K51" i="1" s="1"/>
  <c r="I46" i="1"/>
  <c r="J46" i="1" s="1"/>
  <c r="H45" i="1"/>
  <c r="G45" i="1"/>
  <c r="I45" i="1" s="1"/>
  <c r="J45" i="1" s="1"/>
  <c r="I43" i="1"/>
  <c r="J43" i="1" s="1"/>
  <c r="K43" i="1" s="1"/>
  <c r="H43" i="1"/>
  <c r="I42" i="1"/>
  <c r="J42" i="1" s="1"/>
  <c r="K42" i="1" s="1"/>
  <c r="J41" i="1"/>
  <c r="K41" i="1" s="1"/>
  <c r="I41" i="1"/>
  <c r="H39" i="1"/>
  <c r="G39" i="1"/>
  <c r="I39" i="1" s="1"/>
  <c r="J39" i="1" s="1"/>
  <c r="I30" i="1"/>
  <c r="J30" i="1" s="1"/>
  <c r="G35" i="1" s="1"/>
  <c r="H35" i="1" s="1"/>
  <c r="H30" i="1"/>
  <c r="H26" i="1" s="1"/>
  <c r="J29" i="1"/>
  <c r="G34" i="1" s="1"/>
  <c r="H34" i="1" s="1"/>
  <c r="I29" i="1"/>
  <c r="I28" i="1"/>
  <c r="J28" i="1" s="1"/>
  <c r="G33" i="1" s="1"/>
  <c r="H33" i="1" s="1"/>
  <c r="G26" i="1"/>
  <c r="H23" i="1"/>
  <c r="G23" i="1"/>
  <c r="I23" i="1" s="1"/>
  <c r="J23" i="1" s="1"/>
  <c r="Q22" i="1"/>
  <c r="I22" i="1"/>
  <c r="J22" i="1" s="1"/>
  <c r="H22" i="1"/>
  <c r="G22" i="1"/>
  <c r="Q20" i="1"/>
  <c r="J20" i="1"/>
  <c r="U25" i="1" s="1"/>
  <c r="U26" i="1" s="1"/>
  <c r="U27" i="1" s="1"/>
  <c r="U28" i="1" s="1"/>
  <c r="I20" i="1"/>
  <c r="J19" i="1"/>
  <c r="I19" i="1"/>
  <c r="Q18" i="1"/>
  <c r="P18" i="1"/>
  <c r="O18" i="1"/>
  <c r="H18" i="1"/>
  <c r="H14" i="1" s="1"/>
  <c r="G18" i="1"/>
  <c r="I18" i="1" s="1"/>
  <c r="J18" i="1" s="1"/>
  <c r="I16" i="1"/>
  <c r="J16" i="1" s="1"/>
  <c r="Q10" i="1"/>
  <c r="R10" i="1" s="1"/>
  <c r="I10" i="1"/>
  <c r="J10" i="1" s="1"/>
  <c r="Q9" i="1"/>
  <c r="R9" i="1" s="1"/>
  <c r="I8" i="1"/>
  <c r="J8" i="1" s="1"/>
  <c r="Q7" i="1"/>
  <c r="R7" i="1" s="1"/>
  <c r="P7" i="1"/>
  <c r="P3" i="1" s="1"/>
  <c r="O7" i="1"/>
  <c r="O3" i="1" s="1"/>
  <c r="Q3" i="1" s="1"/>
  <c r="R3" i="1" s="1"/>
  <c r="H6" i="1"/>
  <c r="G6" i="1"/>
  <c r="I6" i="1" s="1"/>
  <c r="J6" i="1" s="1"/>
  <c r="Q5" i="1"/>
  <c r="R5" i="1" s="1"/>
  <c r="H54" i="1" l="1"/>
  <c r="H55" i="1" s="1"/>
  <c r="I55" i="1" s="1"/>
  <c r="I58" i="1" s="1"/>
  <c r="I26" i="1"/>
  <c r="J26" i="1" s="1"/>
  <c r="H3" i="1"/>
  <c r="K45" i="1"/>
  <c r="H37" i="1"/>
  <c r="G14" i="1"/>
  <c r="I48" i="1"/>
  <c r="J48" i="1" s="1"/>
  <c r="G3" i="1" l="1"/>
  <c r="I3" i="1" s="1"/>
  <c r="J3" i="1" s="1"/>
  <c r="I14" i="1"/>
  <c r="J14" i="1" s="1"/>
  <c r="I54" i="1"/>
</calcChain>
</file>

<file path=xl/sharedStrings.xml><?xml version="1.0" encoding="utf-8"?>
<sst xmlns="http://schemas.openxmlformats.org/spreadsheetml/2006/main" count="96" uniqueCount="42">
  <si>
    <t>Turnout</t>
  </si>
  <si>
    <t>Forecast</t>
  </si>
  <si>
    <t>Variance</t>
  </si>
  <si>
    <t>Var %</t>
  </si>
  <si>
    <t>Contribution</t>
  </si>
  <si>
    <t>€000</t>
  </si>
  <si>
    <t>Revenue</t>
  </si>
  <si>
    <t>Total (€000)</t>
  </si>
  <si>
    <t>Costs</t>
  </si>
  <si>
    <t>Total cost (€000)</t>
  </si>
  <si>
    <t>Volume (000)</t>
  </si>
  <si>
    <t>Raw Materials</t>
  </si>
  <si>
    <t>Unit price (€)</t>
  </si>
  <si>
    <t>Labour</t>
  </si>
  <si>
    <t>Simple version for intro</t>
  </si>
  <si>
    <t>Volume (kg)</t>
  </si>
  <si>
    <t>Unit cost (€)</t>
  </si>
  <si>
    <t>Unit cost ($)</t>
  </si>
  <si>
    <t>Exchange rate (€/$)</t>
  </si>
  <si>
    <t>Output impact (kg)</t>
  </si>
  <si>
    <t>Productivity (g/unit produced)</t>
  </si>
  <si>
    <t>Exchange rate Improvement</t>
  </si>
  <si>
    <t>Convert to decimal</t>
  </si>
  <si>
    <t>Invert</t>
  </si>
  <si>
    <t>Staff numbers</t>
  </si>
  <si>
    <t>Convert back to percentage</t>
  </si>
  <si>
    <t>Unit cost (€/hour)</t>
  </si>
  <si>
    <t>Unit annual hours</t>
  </si>
  <si>
    <t>Volume</t>
  </si>
  <si>
    <t>Unit cost</t>
  </si>
  <si>
    <t>Hours</t>
  </si>
  <si>
    <t>Budgeted output</t>
  </si>
  <si>
    <t>Staff Cost (€000)</t>
  </si>
  <si>
    <t>Units</t>
  </si>
  <si>
    <t>Unit Cost</t>
  </si>
  <si>
    <t>Productivity</t>
  </si>
  <si>
    <t>Labour hours/unit</t>
  </si>
  <si>
    <t>Budget</t>
  </si>
  <si>
    <t>Output Increase</t>
  </si>
  <si>
    <t>Productivity loss</t>
  </si>
  <si>
    <t>Turnout Labour Cost</t>
  </si>
  <si>
    <t xml:space="preserve">Turnout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</si>
</sst>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[$€-2]\ #,##0;[Red]\-[$€-2]\ #,##0"/>
    <numFmt numFmtId="165" formatCode="_-* #,##0_-;\-* #,##0_-;_-* &quot;-&quot;??_-;_-@_-"/>
    <numFmt numFmtId="166" formatCode="0.0%"/>
    <numFmt numFmtId="167" formatCode="0.000000000000000%"/>
    <numFmt numFmtId="168" formatCode="_-* #,##0.0_-;\-* #,##0.0_-;_-* &quot;-&quot;??_-;_-@_-"/>
    <numFmt numFmtId="169" formatCode="0.00000%"/>
    <numFmt numFmtId="170" formatCode="0.00000000000000%"/>
    <numFmt numFmtId="171" formatCode="0.000"/>
    <numFmt numFmtId="172" formatCode="0.0000000000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0" xfId="0" quotePrefix="1" applyNumberFormat="1"/>
    <xf numFmtId="165" fontId="0" fillId="0" borderId="0" xfId="0" applyNumberFormat="1"/>
    <xf numFmtId="165" fontId="2" fillId="0" borderId="0" xfId="1" applyNumberFormat="1" applyFont="1"/>
    <xf numFmtId="166" fontId="2" fillId="0" borderId="0" xfId="2" applyNumberFormat="1" applyFont="1"/>
    <xf numFmtId="0" fontId="0" fillId="0" borderId="4" xfId="0" applyBorder="1"/>
    <xf numFmtId="165" fontId="2" fillId="0" borderId="0" xfId="1" applyNumberFormat="1" applyFont="1" applyBorder="1"/>
    <xf numFmtId="166" fontId="2" fillId="0" borderId="5" xfId="2" applyNumberFormat="1" applyFont="1" applyBorder="1"/>
    <xf numFmtId="0" fontId="0" fillId="0" borderId="5" xfId="0" applyBorder="1"/>
    <xf numFmtId="165" fontId="0" fillId="0" borderId="0" xfId="1" applyNumberFormat="1" applyFont="1" applyBorder="1"/>
    <xf numFmtId="165" fontId="0" fillId="0" borderId="2" xfId="1" applyNumberFormat="1" applyFont="1" applyBorder="1"/>
    <xf numFmtId="165" fontId="2" fillId="0" borderId="2" xfId="1" applyNumberFormat="1" applyFont="1" applyBorder="1"/>
    <xf numFmtId="166" fontId="2" fillId="0" borderId="3" xfId="2" applyNumberFormat="1" applyFont="1" applyBorder="1"/>
    <xf numFmtId="165" fontId="1" fillId="0" borderId="0" xfId="1" applyNumberFormat="1" applyFont="1" applyBorder="1"/>
    <xf numFmtId="166" fontId="1" fillId="0" borderId="5" xfId="2" applyNumberFormat="1" applyFont="1" applyBorder="1"/>
    <xf numFmtId="166" fontId="0" fillId="0" borderId="5" xfId="2" applyNumberFormat="1" applyFont="1" applyBorder="1"/>
    <xf numFmtId="166" fontId="0" fillId="0" borderId="0" xfId="0" applyNumberFormat="1"/>
    <xf numFmtId="0" fontId="0" fillId="0" borderId="6" xfId="0" applyBorder="1"/>
    <xf numFmtId="0" fontId="0" fillId="0" borderId="7" xfId="0" applyBorder="1"/>
    <xf numFmtId="43" fontId="0" fillId="0" borderId="7" xfId="1" applyFont="1" applyBorder="1"/>
    <xf numFmtId="43" fontId="2" fillId="0" borderId="7" xfId="1" applyFont="1" applyBorder="1"/>
    <xf numFmtId="166" fontId="2" fillId="0" borderId="8" xfId="2" applyNumberFormat="1" applyFont="1" applyBorder="1"/>
    <xf numFmtId="165" fontId="0" fillId="0" borderId="7" xfId="1" applyNumberFormat="1" applyFont="1" applyBorder="1"/>
    <xf numFmtId="166" fontId="1" fillId="0" borderId="8" xfId="2" applyNumberFormat="1" applyFont="1" applyBorder="1"/>
    <xf numFmtId="167" fontId="0" fillId="0" borderId="0" xfId="0" applyNumberFormat="1"/>
    <xf numFmtId="165" fontId="1" fillId="0" borderId="2" xfId="1" applyNumberFormat="1" applyFont="1" applyBorder="1"/>
    <xf numFmtId="166" fontId="1" fillId="0" borderId="3" xfId="2" applyNumberFormat="1" applyFont="1" applyBorder="1"/>
    <xf numFmtId="165" fontId="0" fillId="0" borderId="0" xfId="1" applyNumberFormat="1" applyFont="1"/>
    <xf numFmtId="165" fontId="1" fillId="0" borderId="0" xfId="1" applyNumberFormat="1" applyFont="1"/>
    <xf numFmtId="166" fontId="1" fillId="0" borderId="0" xfId="2" applyNumberFormat="1" applyFont="1"/>
    <xf numFmtId="3" fontId="0" fillId="0" borderId="0" xfId="0" applyNumberFormat="1"/>
    <xf numFmtId="166" fontId="0" fillId="0" borderId="0" xfId="2" applyNumberFormat="1" applyFont="1"/>
    <xf numFmtId="43" fontId="0" fillId="0" borderId="0" xfId="1" applyFont="1" applyBorder="1"/>
    <xf numFmtId="43" fontId="1" fillId="0" borderId="0" xfId="1" applyFont="1" applyBorder="1"/>
    <xf numFmtId="165" fontId="0" fillId="0" borderId="5" xfId="1" applyNumberFormat="1" applyFont="1" applyBorder="1"/>
    <xf numFmtId="166" fontId="0" fillId="0" borderId="0" xfId="2" applyNumberFormat="1" applyFont="1" applyBorder="1"/>
    <xf numFmtId="165" fontId="0" fillId="0" borderId="7" xfId="0" applyNumberFormat="1" applyBorder="1"/>
    <xf numFmtId="165" fontId="2" fillId="0" borderId="8" xfId="1" applyNumberFormat="1" applyFont="1" applyBorder="1"/>
    <xf numFmtId="168" fontId="0" fillId="0" borderId="7" xfId="1" applyNumberFormat="1" applyFont="1" applyBorder="1"/>
    <xf numFmtId="166" fontId="0" fillId="0" borderId="8" xfId="2" applyNumberFormat="1" applyFont="1" applyBorder="1"/>
    <xf numFmtId="169" fontId="0" fillId="0" borderId="0" xfId="0" applyNumberFormat="1"/>
    <xf numFmtId="170" fontId="0" fillId="0" borderId="0" xfId="0" applyNumberFormat="1"/>
    <xf numFmtId="171" fontId="0" fillId="0" borderId="0" xfId="0" applyNumberFormat="1"/>
    <xf numFmtId="165" fontId="1" fillId="0" borderId="7" xfId="1" applyNumberFormat="1" applyFont="1" applyBorder="1"/>
    <xf numFmtId="43" fontId="0" fillId="0" borderId="0" xfId="1" applyFont="1"/>
    <xf numFmtId="172" fontId="0" fillId="0" borderId="0" xfId="0" applyNumberFormat="1"/>
    <xf numFmtId="166" fontId="1" fillId="2" borderId="0" xfId="2" applyNumberFormat="1" applyFont="1" applyFill="1"/>
    <xf numFmtId="43" fontId="1" fillId="0" borderId="0" xfId="1" applyFont="1"/>
    <xf numFmtId="0" fontId="0" fillId="2" borderId="0" xfId="0" applyFill="1"/>
    <xf numFmtId="2" fontId="0" fillId="0" borderId="0" xfId="0" applyNumberFormat="1"/>
    <xf numFmtId="165" fontId="0" fillId="0" borderId="2" xfId="0" applyNumberFormat="1" applyBorder="1"/>
    <xf numFmtId="43" fontId="0" fillId="0" borderId="7" xfId="0" quotePrefix="1" applyNumberFormat="1" applyBorder="1"/>
    <xf numFmtId="9" fontId="0" fillId="0" borderId="0" xfId="2" applyFont="1"/>
    <xf numFmtId="43" fontId="0" fillId="0" borderId="0" xfId="0" quotePrefix="1" applyNumberFormat="1"/>
    <xf numFmtId="43" fontId="2" fillId="0" borderId="0" xfId="1" applyFont="1" applyBorder="1"/>
    <xf numFmtId="166" fontId="2" fillId="0" borderId="0" xfId="2" applyNumberFormat="1" applyFont="1" applyBorder="1"/>
    <xf numFmtId="171" fontId="0" fillId="2" borderId="0" xfId="0" applyNumberFormat="1" applyFill="1"/>
    <xf numFmtId="0" fontId="0" fillId="0" borderId="9" xfId="0" applyBorder="1"/>
    <xf numFmtId="165" fontId="0" fillId="0" borderId="9" xfId="1" applyNumberFormat="1" applyFont="1" applyBorder="1"/>
    <xf numFmtId="165" fontId="1" fillId="0" borderId="9" xfId="1" applyNumberFormat="1" applyFont="1" applyBorder="1"/>
    <xf numFmtId="166" fontId="1" fillId="0" borderId="9" xfId="2" applyNumberFormat="1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_xlchart.v1.1</cx:f>
      </cx:numDim>
    </cx:data>
  </cx:chartData>
  <cx:chart>
    <cx:plotArea>
      <cx:plotAreaRegion>
        <cx:series layoutId="waterfall" uniqueId="{A4049635-D03E-49D8-8171-43779F627BD3}">
          <cx:dataPt idx="4">
            <cx:spPr>
              <a:solidFill>
                <a:srgbClr val="FF0000"/>
              </a:solidFill>
            </cx:spPr>
          </cx:dataPt>
          <cx:dataLabels pos="outEnd">
            <cx:numFmt formatCode="#,##0" sourceLinked="0"/>
            <cx:visibility seriesName="0" categoryName="0" value="1"/>
            <cx:separator>, </cx:separator>
          </cx:dataLabels>
          <cx:dataId val="0"/>
          <cx:layoutPr>
            <cx:subtotals>
              <cx:idx val="4"/>
            </cx:subtotals>
          </cx:layoutPr>
        </cx:series>
      </cx:plotAreaRegion>
      <cx:axis id="0">
        <cx:catScaling gapWidth="0.5"/>
        <cx:tickLabels/>
      </cx:axis>
      <cx:axis id="1">
        <cx:valScaling/>
        <cx:title>
          <cx:tx>
            <cx:txData>
              <cx:v>€000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€000</a:t>
              </a:r>
            </a:p>
          </cx:txPr>
        </cx:title>
        <cx:majorGridlines/>
        <cx:tickLabels/>
        <cx:numFmt formatCode="#,##0" sourceLinked="0"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365760</xdr:colOff>
      <xdr:row>33</xdr:row>
      <xdr:rowOff>163830</xdr:rowOff>
    </xdr:from>
    <xdr:to>
      <xdr:col>18</xdr:col>
      <xdr:colOff>434340</xdr:colOff>
      <xdr:row>49</xdr:row>
      <xdr:rowOff>114300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515476DB-D3B6-4882-916A-07F8A3DC041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983980" y="6267450"/>
              <a:ext cx="5173980" cy="289941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sim/Dropbox/Adam/Forecasting%20Book%202019/Original%20Figures%20and%20Tab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Chap 1"/>
      <sheetName val="Chap 2"/>
      <sheetName val="Chap 3"/>
      <sheetName val="NEW Chap 4"/>
      <sheetName val="Chap 5"/>
      <sheetName val="Chap 6"/>
      <sheetName val="Chap 7"/>
      <sheetName val="Chap 8"/>
      <sheetName val="Chap 9"/>
      <sheetName val="Chap 10 11 12"/>
      <sheetName val="Ch 13 14"/>
      <sheetName val="Ch 15"/>
      <sheetName val="Ch 19 20"/>
      <sheetName val="Ch 21 22"/>
      <sheetName val="NEW Ch 21"/>
      <sheetName val="NEW Ch 22"/>
      <sheetName val="New Ch 23"/>
      <sheetName val="New Ch 24"/>
      <sheetName val="NEW Ch 25"/>
      <sheetName val="NEW Ch 26"/>
      <sheetName val="NEW Ch 27 28"/>
      <sheetName val="NEW Ch 29"/>
      <sheetName val="NEW Ch 30"/>
      <sheetName val="NEW Ch 31 32"/>
      <sheetName val="NEW Ch 33 34"/>
      <sheetName val="New Ch 35"/>
      <sheetName val="Workings"/>
      <sheetName val="Workings 2"/>
      <sheetName val="Workings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54">
          <cell r="M54" t="str">
            <v>Budget</v>
          </cell>
          <cell r="N54">
            <v>44253.367199999993</v>
          </cell>
        </row>
        <row r="55">
          <cell r="M55" t="str">
            <v>Output Increase</v>
          </cell>
          <cell r="N55">
            <v>2307</v>
          </cell>
        </row>
        <row r="56">
          <cell r="M56" t="str">
            <v>Productivity loss</v>
          </cell>
          <cell r="N56">
            <v>2171</v>
          </cell>
        </row>
        <row r="57">
          <cell r="M57" t="str">
            <v>Unit Cost</v>
          </cell>
          <cell r="N57">
            <v>2534</v>
          </cell>
        </row>
        <row r="58">
          <cell r="M58" t="str">
            <v xml:space="preserve">Turnout </v>
          </cell>
          <cell r="N58">
            <v>51266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2AAB-7195-4B99-88C5-C9339E93C159}">
  <dimension ref="D1:U59"/>
  <sheetViews>
    <sheetView showGridLines="0" tabSelected="1" topLeftCell="A4" workbookViewId="0">
      <selection activeCell="R54" sqref="R54"/>
    </sheetView>
  </sheetViews>
  <sheetFormatPr defaultRowHeight="14.4" x14ac:dyDescent="0.3"/>
  <cols>
    <col min="4" max="4" width="12.6640625" bestFit="1" customWidth="1"/>
    <col min="5" max="5" width="15" customWidth="1"/>
    <col min="6" max="6" width="16.88671875" bestFit="1" customWidth="1"/>
    <col min="7" max="8" width="10.33203125" bestFit="1" customWidth="1"/>
    <col min="9" max="9" width="9.33203125" bestFit="1" customWidth="1"/>
    <col min="10" max="10" width="6.6640625" bestFit="1" customWidth="1"/>
    <col min="13" max="13" width="19.21875" bestFit="1" customWidth="1"/>
    <col min="14" max="14" width="18.21875" bestFit="1" customWidth="1"/>
    <col min="15" max="15" width="10.33203125" bestFit="1" customWidth="1"/>
    <col min="20" max="20" width="24.21875" bestFit="1" customWidth="1"/>
    <col min="21" max="21" width="6" bestFit="1" customWidth="1"/>
  </cols>
  <sheetData>
    <row r="1" spans="4:21" ht="15" thickBot="1" x14ac:dyDescent="0.35"/>
    <row r="2" spans="4:21" x14ac:dyDescent="0.3">
      <c r="G2" s="1" t="s">
        <v>0</v>
      </c>
      <c r="H2" s="1" t="s">
        <v>1</v>
      </c>
      <c r="I2" s="1" t="s">
        <v>2</v>
      </c>
      <c r="J2" s="1" t="s">
        <v>3</v>
      </c>
      <c r="M2" s="2"/>
      <c r="N2" s="3"/>
      <c r="O2" s="4" t="s">
        <v>0</v>
      </c>
      <c r="P2" s="4" t="s">
        <v>1</v>
      </c>
      <c r="Q2" s="4" t="s">
        <v>2</v>
      </c>
      <c r="R2" s="5" t="s">
        <v>3</v>
      </c>
    </row>
    <row r="3" spans="4:21" x14ac:dyDescent="0.3">
      <c r="D3" t="s">
        <v>4</v>
      </c>
      <c r="E3" s="6" t="s">
        <v>5</v>
      </c>
      <c r="G3" s="7">
        <f>G6-G14-G26</f>
        <v>12988.744888888883</v>
      </c>
      <c r="H3" s="7">
        <f>H6-H14-H26</f>
        <v>23917.368326315802</v>
      </c>
      <c r="I3" s="8">
        <f>G3-H3</f>
        <v>-10928.623437426919</v>
      </c>
      <c r="J3" s="9">
        <f>I3/H3</f>
        <v>-0.45693252235457582</v>
      </c>
      <c r="M3" s="10" t="s">
        <v>4</v>
      </c>
      <c r="N3" s="6" t="s">
        <v>5</v>
      </c>
      <c r="O3" s="7">
        <f>O5-O7</f>
        <v>12988.744888888883</v>
      </c>
      <c r="P3" s="7">
        <f>P5-P7</f>
        <v>23917.368326315795</v>
      </c>
      <c r="Q3" s="11">
        <f>O3-P3</f>
        <v>-10928.623437426912</v>
      </c>
      <c r="R3" s="12">
        <f>Q3/P3</f>
        <v>-0.45693252235457565</v>
      </c>
    </row>
    <row r="4" spans="4:21" x14ac:dyDescent="0.3">
      <c r="M4" s="10"/>
      <c r="R4" s="13"/>
    </row>
    <row r="5" spans="4:21" ht="15" thickBot="1" x14ac:dyDescent="0.35">
      <c r="D5" t="s">
        <v>6</v>
      </c>
      <c r="G5" s="1" t="s">
        <v>0</v>
      </c>
      <c r="H5" s="1" t="s">
        <v>1</v>
      </c>
      <c r="I5" s="1" t="s">
        <v>2</v>
      </c>
      <c r="J5" s="1" t="s">
        <v>3</v>
      </c>
      <c r="M5" s="10" t="s">
        <v>6</v>
      </c>
      <c r="N5" t="s">
        <v>7</v>
      </c>
      <c r="O5" s="14">
        <v>71199.09</v>
      </c>
      <c r="P5" s="14">
        <v>74366</v>
      </c>
      <c r="Q5" s="11">
        <f>O5-P5</f>
        <v>-3166.9100000000035</v>
      </c>
      <c r="R5" s="12">
        <f>Q5/P5</f>
        <v>-4.2585455719011421E-2</v>
      </c>
    </row>
    <row r="6" spans="4:21" x14ac:dyDescent="0.3">
      <c r="E6" s="2" t="s">
        <v>7</v>
      </c>
      <c r="F6" s="3"/>
      <c r="G6" s="15">
        <f>G8*G10</f>
        <v>71199.09</v>
      </c>
      <c r="H6" s="15">
        <f>H8*H10</f>
        <v>74366</v>
      </c>
      <c r="I6" s="16">
        <f>G6-H6</f>
        <v>-3166.9100000000035</v>
      </c>
      <c r="J6" s="17">
        <f>I6/H6</f>
        <v>-4.2585455719011421E-2</v>
      </c>
      <c r="M6" s="10"/>
      <c r="R6" s="13"/>
    </row>
    <row r="7" spans="4:21" x14ac:dyDescent="0.3">
      <c r="E7" s="10"/>
      <c r="J7" s="13"/>
      <c r="M7" s="10" t="s">
        <v>8</v>
      </c>
      <c r="N7" t="s">
        <v>9</v>
      </c>
      <c r="O7" s="7">
        <f>O9+O10</f>
        <v>58210.345111111114</v>
      </c>
      <c r="P7" s="7">
        <f>P9+P10</f>
        <v>50448.631673684205</v>
      </c>
      <c r="Q7" s="18">
        <f>O7-P7</f>
        <v>7761.7134374269081</v>
      </c>
      <c r="R7" s="19">
        <f>Q7/P7</f>
        <v>0.15385379503713464</v>
      </c>
    </row>
    <row r="8" spans="4:21" x14ac:dyDescent="0.3">
      <c r="E8" s="10" t="s">
        <v>10</v>
      </c>
      <c r="G8" s="14">
        <v>10837</v>
      </c>
      <c r="H8" s="14">
        <v>10300</v>
      </c>
      <c r="I8" s="7">
        <f>G8-H8</f>
        <v>537</v>
      </c>
      <c r="J8" s="20">
        <f>I8/H8</f>
        <v>5.213592233009709E-2</v>
      </c>
      <c r="M8" s="10"/>
      <c r="R8" s="13"/>
    </row>
    <row r="9" spans="4:21" x14ac:dyDescent="0.3">
      <c r="E9" s="10"/>
      <c r="G9" s="14"/>
      <c r="H9" s="14"/>
      <c r="I9" s="7"/>
      <c r="J9" s="20"/>
      <c r="M9" s="10" t="s">
        <v>11</v>
      </c>
      <c r="N9" t="s">
        <v>9</v>
      </c>
      <c r="O9" s="14">
        <v>6944.788111111111</v>
      </c>
      <c r="P9" s="14">
        <v>6195.2644736842112</v>
      </c>
      <c r="Q9" s="14">
        <f>O9-P9</f>
        <v>749.52363742689977</v>
      </c>
      <c r="R9" s="19">
        <f>Q9/P9</f>
        <v>0.12098331566161076</v>
      </c>
      <c r="U9" s="21"/>
    </row>
    <row r="10" spans="4:21" ht="15" thickBot="1" x14ac:dyDescent="0.35">
      <c r="E10" s="22" t="s">
        <v>12</v>
      </c>
      <c r="F10" s="23"/>
      <c r="G10" s="24">
        <v>6.57</v>
      </c>
      <c r="H10" s="24">
        <v>7.22</v>
      </c>
      <c r="I10" s="25">
        <f>G10-H10</f>
        <v>-0.64999999999999947</v>
      </c>
      <c r="J10" s="26">
        <f>I10/H10</f>
        <v>-9.0027700831024862E-2</v>
      </c>
      <c r="M10" s="22" t="s">
        <v>13</v>
      </c>
      <c r="N10" s="23" t="s">
        <v>9</v>
      </c>
      <c r="O10" s="27">
        <v>51265.557000000001</v>
      </c>
      <c r="P10" s="27">
        <v>44253.367199999993</v>
      </c>
      <c r="Q10" s="27">
        <f>O10-P10</f>
        <v>7012.1898000000074</v>
      </c>
      <c r="R10" s="28">
        <f>Q10/P10</f>
        <v>0.15845550844320855</v>
      </c>
      <c r="U10" s="21"/>
    </row>
    <row r="11" spans="4:21" x14ac:dyDescent="0.3">
      <c r="U11" s="29"/>
    </row>
    <row r="13" spans="4:21" ht="15" thickBot="1" x14ac:dyDescent="0.35">
      <c r="D13" t="s">
        <v>11</v>
      </c>
      <c r="G13" s="1" t="s">
        <v>0</v>
      </c>
      <c r="H13" s="1" t="s">
        <v>1</v>
      </c>
      <c r="I13" s="1" t="s">
        <v>2</v>
      </c>
      <c r="J13" s="1" t="s">
        <v>3</v>
      </c>
    </row>
    <row r="14" spans="4:21" x14ac:dyDescent="0.3">
      <c r="E14" s="2" t="s">
        <v>9</v>
      </c>
      <c r="F14" s="3"/>
      <c r="G14" s="15">
        <f>G16*G18/1000</f>
        <v>6944.788111111111</v>
      </c>
      <c r="H14" s="15">
        <f>H16*H18/1000</f>
        <v>6195.2644736842112</v>
      </c>
      <c r="I14" s="30">
        <f>G14-H14</f>
        <v>749.52363742689977</v>
      </c>
      <c r="J14" s="31">
        <f>I14/H14</f>
        <v>0.12098331566161076</v>
      </c>
      <c r="N14" t="s">
        <v>14</v>
      </c>
      <c r="O14" s="32"/>
      <c r="P14" s="32"/>
      <c r="Q14" s="33"/>
      <c r="R14" s="34"/>
    </row>
    <row r="15" spans="4:21" x14ac:dyDescent="0.3">
      <c r="E15" s="10"/>
      <c r="J15" s="13"/>
    </row>
    <row r="16" spans="4:21" ht="15" thickBot="1" x14ac:dyDescent="0.35">
      <c r="E16" s="10" t="s">
        <v>15</v>
      </c>
      <c r="G16" s="14">
        <v>272006</v>
      </c>
      <c r="H16" s="35">
        <v>247550</v>
      </c>
      <c r="I16" s="14">
        <f>G16-H16</f>
        <v>24456</v>
      </c>
      <c r="J16" s="20">
        <f>I16/H16</f>
        <v>9.8792163199353661E-2</v>
      </c>
      <c r="O16" s="32"/>
      <c r="P16" s="35"/>
      <c r="Q16" s="32"/>
      <c r="R16" s="36"/>
    </row>
    <row r="17" spans="5:21" x14ac:dyDescent="0.3">
      <c r="E17" s="10"/>
      <c r="G17" s="14"/>
      <c r="H17" s="35"/>
      <c r="I17" s="14"/>
      <c r="J17" s="20"/>
      <c r="M17" s="2"/>
      <c r="N17" s="3"/>
      <c r="O17" s="4" t="s">
        <v>0</v>
      </c>
      <c r="P17" s="4" t="s">
        <v>1</v>
      </c>
      <c r="Q17" s="5" t="s">
        <v>2</v>
      </c>
      <c r="R17" s="1"/>
    </row>
    <row r="18" spans="5:21" x14ac:dyDescent="0.3">
      <c r="E18" s="10" t="s">
        <v>16</v>
      </c>
      <c r="G18" s="37">
        <f>G19/G20</f>
        <v>25.531746031746032</v>
      </c>
      <c r="H18" s="37">
        <f>H19/H20</f>
        <v>25.026315789473689</v>
      </c>
      <c r="I18" s="38">
        <f>G18-H18</f>
        <v>0.50543024227234312</v>
      </c>
      <c r="J18" s="19">
        <f>I18/H18</f>
        <v>2.01959507953197E-2</v>
      </c>
      <c r="M18" s="10" t="s">
        <v>4</v>
      </c>
      <c r="N18" s="6" t="s">
        <v>5</v>
      </c>
      <c r="O18" s="7">
        <f>O20-O22</f>
        <v>25</v>
      </c>
      <c r="P18" s="7">
        <f>P20-P22</f>
        <v>18</v>
      </c>
      <c r="Q18" s="39">
        <f>O18-P18</f>
        <v>7</v>
      </c>
      <c r="R18" s="40"/>
    </row>
    <row r="19" spans="5:21" x14ac:dyDescent="0.3">
      <c r="E19" s="10"/>
      <c r="F19" t="s">
        <v>17</v>
      </c>
      <c r="G19" s="37">
        <v>32.17</v>
      </c>
      <c r="H19" s="37">
        <v>28.53</v>
      </c>
      <c r="I19" s="37">
        <f>G19-H19</f>
        <v>3.6400000000000006</v>
      </c>
      <c r="J19" s="20">
        <f>I19/H19</f>
        <v>0.12758499824745884</v>
      </c>
      <c r="M19" s="10"/>
      <c r="Q19" s="13"/>
    </row>
    <row r="20" spans="5:21" x14ac:dyDescent="0.3">
      <c r="E20" s="10"/>
      <c r="F20" t="s">
        <v>18</v>
      </c>
      <c r="G20" s="37">
        <v>1.26</v>
      </c>
      <c r="H20" s="37">
        <v>1.1399999999999999</v>
      </c>
      <c r="I20" s="37">
        <f>G20-H20</f>
        <v>0.12000000000000011</v>
      </c>
      <c r="J20" s="20">
        <f>I20/H20</f>
        <v>0.10526315789473695</v>
      </c>
      <c r="M20" s="10" t="s">
        <v>6</v>
      </c>
      <c r="N20" t="s">
        <v>7</v>
      </c>
      <c r="O20" s="14">
        <v>110</v>
      </c>
      <c r="P20" s="14">
        <v>105</v>
      </c>
      <c r="Q20" s="39">
        <f>O20-P20</f>
        <v>5</v>
      </c>
      <c r="R20" s="40"/>
    </row>
    <row r="21" spans="5:21" x14ac:dyDescent="0.3">
      <c r="E21" s="10"/>
      <c r="J21" s="13"/>
      <c r="M21" s="10"/>
      <c r="Q21" s="13"/>
    </row>
    <row r="22" spans="5:21" ht="15" thickBot="1" x14ac:dyDescent="0.35">
      <c r="E22" s="10" t="s">
        <v>19</v>
      </c>
      <c r="G22" s="7">
        <f>G8/H8*H22</f>
        <v>260456.24757281551</v>
      </c>
      <c r="H22" s="7">
        <f>H16</f>
        <v>247550</v>
      </c>
      <c r="I22" s="14">
        <f>G22-H22</f>
        <v>12906.247572815511</v>
      </c>
      <c r="J22" s="20">
        <f>I22/H22</f>
        <v>5.2135922330096993E-2</v>
      </c>
      <c r="M22" s="22" t="s">
        <v>8</v>
      </c>
      <c r="N22" s="23" t="s">
        <v>9</v>
      </c>
      <c r="O22" s="41">
        <v>85</v>
      </c>
      <c r="P22" s="41">
        <v>87</v>
      </c>
      <c r="Q22" s="42">
        <f>O22-P22</f>
        <v>-2</v>
      </c>
      <c r="R22" s="40"/>
    </row>
    <row r="23" spans="5:21" ht="15" thickBot="1" x14ac:dyDescent="0.35">
      <c r="E23" s="22" t="s">
        <v>20</v>
      </c>
      <c r="F23" s="23"/>
      <c r="G23" s="43">
        <f>G16/G8</f>
        <v>25.099750853557257</v>
      </c>
      <c r="H23" s="43">
        <f>H16/H8</f>
        <v>24.033980582524272</v>
      </c>
      <c r="I23" s="24">
        <f>G23-H23</f>
        <v>1.0657702710329851</v>
      </c>
      <c r="J23" s="44">
        <f>I23/H23</f>
        <v>4.4344309398665911E-2</v>
      </c>
    </row>
    <row r="24" spans="5:21" x14ac:dyDescent="0.3">
      <c r="M24" s="45"/>
    </row>
    <row r="25" spans="5:21" x14ac:dyDescent="0.3">
      <c r="T25" s="46" t="s">
        <v>21</v>
      </c>
      <c r="U25" s="21">
        <f>J20</f>
        <v>0.10526315789473695</v>
      </c>
    </row>
    <row r="26" spans="5:21" ht="15" thickBot="1" x14ac:dyDescent="0.35">
      <c r="E26" t="s">
        <v>13</v>
      </c>
      <c r="F26" t="s">
        <v>9</v>
      </c>
      <c r="G26" s="7">
        <f>G28*G29*G30/1000</f>
        <v>51265.557000000001</v>
      </c>
      <c r="H26" s="7">
        <f>H28*H29*H30/1000</f>
        <v>44253.367199999993</v>
      </c>
      <c r="I26" s="33">
        <f>G26-H26</f>
        <v>7012.1898000000074</v>
      </c>
      <c r="J26" s="34">
        <f>I26/H26</f>
        <v>0.15845550844320855</v>
      </c>
      <c r="T26" s="21" t="s">
        <v>22</v>
      </c>
      <c r="U26" s="47">
        <f>1+U25</f>
        <v>1.1052631578947369</v>
      </c>
    </row>
    <row r="27" spans="5:21" x14ac:dyDescent="0.3">
      <c r="F27" s="2"/>
      <c r="G27" s="4" t="s">
        <v>0</v>
      </c>
      <c r="H27" s="4" t="s">
        <v>1</v>
      </c>
      <c r="I27" s="4" t="s">
        <v>2</v>
      </c>
      <c r="J27" s="5" t="s">
        <v>3</v>
      </c>
      <c r="T27" s="21" t="s">
        <v>23</v>
      </c>
      <c r="U27" s="47">
        <f>1/U26</f>
        <v>0.90476190476190466</v>
      </c>
    </row>
    <row r="28" spans="5:21" x14ac:dyDescent="0.3">
      <c r="F28" s="10" t="s">
        <v>24</v>
      </c>
      <c r="G28" s="14">
        <v>525</v>
      </c>
      <c r="H28" s="14">
        <v>541</v>
      </c>
      <c r="I28" s="11">
        <f>G28-H28</f>
        <v>-16</v>
      </c>
      <c r="J28" s="12">
        <f>I28/H28</f>
        <v>-2.9574861367837338E-2</v>
      </c>
      <c r="M28" s="21"/>
      <c r="T28" s="21" t="s">
        <v>25</v>
      </c>
      <c r="U28" s="9">
        <f>U27-1</f>
        <v>-9.5238095238095344E-2</v>
      </c>
    </row>
    <row r="29" spans="5:21" x14ac:dyDescent="0.3">
      <c r="F29" s="10" t="s">
        <v>26</v>
      </c>
      <c r="G29" s="37">
        <v>51.34</v>
      </c>
      <c r="H29" s="37">
        <v>48.69</v>
      </c>
      <c r="I29" s="38">
        <f>G29-H29</f>
        <v>2.6500000000000057</v>
      </c>
      <c r="J29" s="19">
        <f>I29/H29</f>
        <v>5.4425960156089664E-2</v>
      </c>
      <c r="M29" s="21"/>
    </row>
    <row r="30" spans="5:21" ht="15" thickBot="1" x14ac:dyDescent="0.35">
      <c r="F30" s="22" t="s">
        <v>27</v>
      </c>
      <c r="G30" s="27">
        <v>1902</v>
      </c>
      <c r="H30" s="27">
        <f>35*48</f>
        <v>1680</v>
      </c>
      <c r="I30" s="48">
        <f>G30-H30</f>
        <v>222</v>
      </c>
      <c r="J30" s="28">
        <f>I30/H30</f>
        <v>0.13214285714285715</v>
      </c>
      <c r="M30" s="21"/>
    </row>
    <row r="31" spans="5:21" x14ac:dyDescent="0.3">
      <c r="G31" s="49"/>
      <c r="H31" s="49"/>
      <c r="I31" s="49"/>
      <c r="J31" s="49"/>
      <c r="M31" s="50"/>
    </row>
    <row r="33" spans="4:12" x14ac:dyDescent="0.3">
      <c r="F33" t="s">
        <v>28</v>
      </c>
      <c r="G33" s="21">
        <f>J28</f>
        <v>-2.9574861367837338E-2</v>
      </c>
      <c r="H33" s="47">
        <f>1+G33</f>
        <v>0.97042513863216262</v>
      </c>
    </row>
    <row r="34" spans="4:12" x14ac:dyDescent="0.3">
      <c r="F34" t="s">
        <v>29</v>
      </c>
      <c r="G34" s="21">
        <f>J29</f>
        <v>5.4425960156089664E-2</v>
      </c>
      <c r="H34" s="47">
        <f>1+G34</f>
        <v>1.0544259601560897</v>
      </c>
    </row>
    <row r="35" spans="4:12" x14ac:dyDescent="0.3">
      <c r="F35" t="s">
        <v>30</v>
      </c>
      <c r="G35" s="21">
        <f>J30</f>
        <v>0.13214285714285715</v>
      </c>
      <c r="H35" s="47">
        <f>1+G35</f>
        <v>1.1321428571428571</v>
      </c>
    </row>
    <row r="36" spans="4:12" x14ac:dyDescent="0.3">
      <c r="G36" s="21"/>
      <c r="H36" s="47"/>
    </row>
    <row r="37" spans="4:12" x14ac:dyDescent="0.3">
      <c r="H37" s="47">
        <f>H33*H34*H35</f>
        <v>1.1584555084432084</v>
      </c>
    </row>
    <row r="39" spans="4:12" x14ac:dyDescent="0.3">
      <c r="D39" t="s">
        <v>13</v>
      </c>
      <c r="E39" t="s">
        <v>9</v>
      </c>
      <c r="G39" s="7">
        <f>G41*G42*G43/1000</f>
        <v>51265.557000000001</v>
      </c>
      <c r="H39" s="7">
        <f>H41*H42*H43/1000</f>
        <v>44253.367199999993</v>
      </c>
      <c r="I39" s="33">
        <f>G39-H39</f>
        <v>7012.1898000000074</v>
      </c>
      <c r="J39" s="51">
        <f>I39/H39</f>
        <v>0.15845550844320855</v>
      </c>
    </row>
    <row r="41" spans="4:12" x14ac:dyDescent="0.3">
      <c r="E41" t="s">
        <v>24</v>
      </c>
      <c r="G41" s="32">
        <v>525</v>
      </c>
      <c r="H41" s="32">
        <v>541</v>
      </c>
      <c r="I41" s="8">
        <f>G41-H41</f>
        <v>-16</v>
      </c>
      <c r="J41" s="9">
        <f>I41/H41</f>
        <v>-2.9574861367837338E-2</v>
      </c>
      <c r="K41" s="47">
        <f>1+J41</f>
        <v>0.97042513863216262</v>
      </c>
      <c r="L41" s="47"/>
    </row>
    <row r="42" spans="4:12" x14ac:dyDescent="0.3">
      <c r="F42" t="s">
        <v>26</v>
      </c>
      <c r="G42" s="49">
        <v>51.34</v>
      </c>
      <c r="H42" s="49">
        <v>48.69</v>
      </c>
      <c r="I42" s="52">
        <f>G42-H42</f>
        <v>2.6500000000000057</v>
      </c>
      <c r="J42" s="34">
        <f>I42/H42</f>
        <v>5.4425960156089664E-2</v>
      </c>
      <c r="K42" s="47">
        <f>1+J42</f>
        <v>1.0544259601560897</v>
      </c>
      <c r="L42" s="47"/>
    </row>
    <row r="43" spans="4:12" x14ac:dyDescent="0.3">
      <c r="F43" t="s">
        <v>27</v>
      </c>
      <c r="G43" s="32">
        <v>1902</v>
      </c>
      <c r="H43" s="32">
        <f>35*48</f>
        <v>1680</v>
      </c>
      <c r="I43" s="33">
        <f>G43-H43</f>
        <v>222</v>
      </c>
      <c r="J43" s="34">
        <f>I43/H43</f>
        <v>0.13214285714285715</v>
      </c>
      <c r="K43" s="47">
        <f>1+J43</f>
        <v>1.1321428571428571</v>
      </c>
      <c r="L43" s="47"/>
    </row>
    <row r="44" spans="4:12" ht="15" thickBot="1" x14ac:dyDescent="0.35">
      <c r="G44" s="1" t="s">
        <v>0</v>
      </c>
      <c r="H44" s="1" t="s">
        <v>1</v>
      </c>
      <c r="I44" s="1" t="s">
        <v>2</v>
      </c>
      <c r="J44" s="1" t="s">
        <v>3</v>
      </c>
    </row>
    <row r="45" spans="4:12" x14ac:dyDescent="0.3">
      <c r="E45" s="2" t="s">
        <v>31</v>
      </c>
      <c r="F45" s="3" t="s">
        <v>32</v>
      </c>
      <c r="G45" s="15">
        <f>G39*H8/G8</f>
        <v>48725.222580049835</v>
      </c>
      <c r="H45" s="15">
        <f>H39</f>
        <v>44253.367199999993</v>
      </c>
      <c r="I45" s="30">
        <f>G45-H45</f>
        <v>4471.8553800498412</v>
      </c>
      <c r="J45" s="31">
        <f>I45/H45</f>
        <v>0.10105118916351843</v>
      </c>
      <c r="K45" s="53">
        <f>K41*K42*K43</f>
        <v>1.1584555084432084</v>
      </c>
    </row>
    <row r="46" spans="4:12" ht="15" thickBot="1" x14ac:dyDescent="0.35">
      <c r="E46" s="22" t="s">
        <v>10</v>
      </c>
      <c r="F46" s="23"/>
      <c r="G46" s="27">
        <v>10837</v>
      </c>
      <c r="H46" s="27">
        <v>10300</v>
      </c>
      <c r="I46" s="41">
        <f>G46-H46</f>
        <v>537</v>
      </c>
      <c r="J46" s="44">
        <f>I46/H46</f>
        <v>5.213592233009709E-2</v>
      </c>
      <c r="K46" s="47"/>
      <c r="L46" s="47"/>
    </row>
    <row r="47" spans="4:12" ht="15" thickBot="1" x14ac:dyDescent="0.35">
      <c r="G47" s="32"/>
      <c r="H47" s="32"/>
      <c r="I47" s="49"/>
      <c r="J47" s="49"/>
      <c r="K47" s="54"/>
      <c r="L47" s="54"/>
    </row>
    <row r="48" spans="4:12" x14ac:dyDescent="0.3">
      <c r="E48" s="2" t="s">
        <v>28</v>
      </c>
      <c r="F48" s="3" t="s">
        <v>33</v>
      </c>
      <c r="G48" s="55">
        <f>G8</f>
        <v>10837</v>
      </c>
      <c r="H48" s="55">
        <f>H8</f>
        <v>10300</v>
      </c>
      <c r="I48" s="30">
        <f>G48-H48</f>
        <v>537</v>
      </c>
      <c r="J48" s="31">
        <f>I48/H48</f>
        <v>5.213592233009709E-2</v>
      </c>
      <c r="K48" s="47">
        <f>(G48/H48)</f>
        <v>1.052135922330097</v>
      </c>
      <c r="L48" s="47"/>
    </row>
    <row r="49" spans="5:14" x14ac:dyDescent="0.3">
      <c r="E49" s="10" t="s">
        <v>34</v>
      </c>
      <c r="F49" t="s">
        <v>26</v>
      </c>
      <c r="G49" s="37">
        <v>51.34</v>
      </c>
      <c r="H49" s="37">
        <v>48.69</v>
      </c>
      <c r="I49" s="38">
        <f>G49-H49</f>
        <v>2.6500000000000057</v>
      </c>
      <c r="J49" s="19">
        <f>I49/H49</f>
        <v>5.4425960156089664E-2</v>
      </c>
      <c r="K49" s="47">
        <f>(G49/H49)</f>
        <v>1.0544259601560897</v>
      </c>
      <c r="L49" s="47"/>
    </row>
    <row r="50" spans="5:14" ht="15" thickBot="1" x14ac:dyDescent="0.35">
      <c r="E50" s="22" t="s">
        <v>35</v>
      </c>
      <c r="F50" s="23" t="s">
        <v>36</v>
      </c>
      <c r="G50" s="56">
        <f>G8*1000/(G43*G41)</f>
        <v>10.852736467878424</v>
      </c>
      <c r="H50" s="56">
        <f>H8*1000/(H43*H41)</f>
        <v>11.332629169967433</v>
      </c>
      <c r="I50" s="25">
        <f>G50-H50</f>
        <v>-0.47989270208900869</v>
      </c>
      <c r="J50" s="26">
        <f>I50/H50</f>
        <v>-4.2346104764529921E-2</v>
      </c>
      <c r="K50" s="57">
        <f>(H50/G50)</f>
        <v>1.0442185898007732</v>
      </c>
      <c r="L50" s="57"/>
    </row>
    <row r="51" spans="5:14" x14ac:dyDescent="0.3">
      <c r="G51" s="58"/>
      <c r="H51" s="58"/>
      <c r="I51" s="59"/>
      <c r="J51" s="60"/>
      <c r="K51" s="61">
        <f>K48*K49*K50</f>
        <v>1.1584555084432084</v>
      </c>
      <c r="L51" s="47"/>
    </row>
    <row r="52" spans="5:14" x14ac:dyDescent="0.3">
      <c r="G52" s="58"/>
      <c r="H52" s="58"/>
      <c r="I52" s="59"/>
      <c r="J52" s="60"/>
      <c r="K52" s="47"/>
      <c r="L52" s="47"/>
    </row>
    <row r="53" spans="5:14" x14ac:dyDescent="0.3">
      <c r="G53" s="1" t="s">
        <v>0</v>
      </c>
      <c r="H53" s="1" t="s">
        <v>1</v>
      </c>
      <c r="I53" s="1" t="s">
        <v>2</v>
      </c>
      <c r="J53" s="1"/>
      <c r="K53" s="47"/>
      <c r="L53" s="47"/>
    </row>
    <row r="54" spans="5:14" x14ac:dyDescent="0.3">
      <c r="E54" t="str">
        <f>E26</f>
        <v>Labour</v>
      </c>
      <c r="F54" s="62" t="str">
        <f>F26</f>
        <v>Total cost (€000)</v>
      </c>
      <c r="G54" s="63">
        <f>G26</f>
        <v>51265.557000000001</v>
      </c>
      <c r="H54" s="63">
        <f>H26</f>
        <v>44253.367199999993</v>
      </c>
      <c r="I54" s="64">
        <f>G54-H54</f>
        <v>7012.1898000000074</v>
      </c>
      <c r="J54" s="65"/>
      <c r="M54" t="s">
        <v>37</v>
      </c>
      <c r="N54" s="32">
        <v>44253.367199999993</v>
      </c>
    </row>
    <row r="55" spans="5:14" x14ac:dyDescent="0.3">
      <c r="F55" t="s">
        <v>38</v>
      </c>
      <c r="G55" s="7">
        <v>46560.55</v>
      </c>
      <c r="H55" s="7">
        <f>H54</f>
        <v>44253.367199999993</v>
      </c>
      <c r="I55" s="33">
        <f>G55-H55</f>
        <v>2307.1828000000096</v>
      </c>
      <c r="J55" s="34"/>
      <c r="K55" s="47"/>
      <c r="L55" s="47"/>
      <c r="M55" t="s">
        <v>38</v>
      </c>
      <c r="N55" s="32">
        <v>2307</v>
      </c>
    </row>
    <row r="56" spans="5:14" x14ac:dyDescent="0.3">
      <c r="F56" t="s">
        <v>39</v>
      </c>
      <c r="G56" s="7">
        <v>48732</v>
      </c>
      <c r="H56" s="7">
        <v>46561</v>
      </c>
      <c r="I56" s="33">
        <f>G56-H56</f>
        <v>2171</v>
      </c>
      <c r="J56" s="34"/>
      <c r="K56" s="47"/>
      <c r="L56" s="47"/>
      <c r="M56" s="7" t="s">
        <v>39</v>
      </c>
      <c r="N56" s="32">
        <v>2171</v>
      </c>
    </row>
    <row r="57" spans="5:14" x14ac:dyDescent="0.3">
      <c r="F57" t="s">
        <v>34</v>
      </c>
      <c r="G57" s="7">
        <f>H57+2534</f>
        <v>51266</v>
      </c>
      <c r="H57" s="7">
        <f>G56</f>
        <v>48732</v>
      </c>
      <c r="I57" s="33">
        <f>G57-H57</f>
        <v>2534</v>
      </c>
      <c r="J57" s="34"/>
      <c r="K57" s="47"/>
      <c r="L57" s="47"/>
      <c r="M57" t="s">
        <v>34</v>
      </c>
      <c r="N57" s="32">
        <v>2534</v>
      </c>
    </row>
    <row r="58" spans="5:14" x14ac:dyDescent="0.3">
      <c r="F58" t="s">
        <v>40</v>
      </c>
      <c r="H58" s="7">
        <f>G57</f>
        <v>51266</v>
      </c>
      <c r="I58" s="7">
        <f>SUM(I55:I57)</f>
        <v>7012.1828000000096</v>
      </c>
      <c r="M58" t="s">
        <v>41</v>
      </c>
      <c r="N58" s="32">
        <v>51266</v>
      </c>
    </row>
    <row r="59" spans="5:14" x14ac:dyDescent="0.3">
      <c r="I59" s="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Simmons</dc:creator>
  <cp:lastModifiedBy>Adam Simmons</cp:lastModifiedBy>
  <dcterms:created xsi:type="dcterms:W3CDTF">2019-12-29T08:00:44Z</dcterms:created>
  <dcterms:modified xsi:type="dcterms:W3CDTF">2019-12-29T08:03:18Z</dcterms:modified>
</cp:coreProperties>
</file>